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918" activeTab="0"/>
  </bookViews>
  <sheets>
    <sheet name="Men  Dec" sheetId="1" r:id="rId1"/>
    <sheet name="Men Pen outdoor" sheetId="2" r:id="rId2"/>
    <sheet name="Men Pen Indoor" sheetId="3" r:id="rId3"/>
    <sheet name="Men Hep Indoor" sheetId="4" r:id="rId4"/>
    <sheet name="Women Dec" sheetId="5" r:id="rId5"/>
    <sheet name="Women Hep" sheetId="6" r:id="rId6"/>
    <sheet name="Women Pen indoor" sheetId="7" r:id="rId7"/>
  </sheets>
  <definedNames/>
  <calcPr fullCalcOnLoad="1"/>
</workbook>
</file>

<file path=xl/sharedStrings.xml><?xml version="1.0" encoding="utf-8"?>
<sst xmlns="http://schemas.openxmlformats.org/spreadsheetml/2006/main" count="172" uniqueCount="37">
  <si>
    <t>Results</t>
  </si>
  <si>
    <t>Points</t>
  </si>
  <si>
    <t>Total Points =</t>
  </si>
  <si>
    <t>metres</t>
  </si>
  <si>
    <t>seconds</t>
  </si>
  <si>
    <t>Enter the results for each of the 10 events</t>
  </si>
  <si>
    <t>100m</t>
  </si>
  <si>
    <t>200m</t>
  </si>
  <si>
    <t>400m</t>
  </si>
  <si>
    <t>1500m</t>
  </si>
  <si>
    <t>High Jump</t>
  </si>
  <si>
    <t>Long Jump</t>
  </si>
  <si>
    <t>Shot Put</t>
  </si>
  <si>
    <t>centimetres</t>
  </si>
  <si>
    <t>110m Hurdles</t>
  </si>
  <si>
    <t>Discus</t>
  </si>
  <si>
    <t>Pole vault</t>
  </si>
  <si>
    <t>Javelin</t>
  </si>
  <si>
    <t>Yes</t>
  </si>
  <si>
    <t>No</t>
  </si>
  <si>
    <t>Electronic Timing</t>
  </si>
  <si>
    <t>Enter the results for each of the 5 events</t>
  </si>
  <si>
    <t>Mens Pentathlon (outdoor) Points Calculator</t>
  </si>
  <si>
    <t>Mens Pentathlon (indoor) Points Calculator</t>
  </si>
  <si>
    <t>1000m</t>
  </si>
  <si>
    <t>60m</t>
  </si>
  <si>
    <t>Enter the results for each of the 7 events</t>
  </si>
  <si>
    <t>60m Hurdles</t>
  </si>
  <si>
    <t>Mens Heptathlon (indoor) Points Calculator</t>
  </si>
  <si>
    <t>Womens Decathlon Points Calculator</t>
  </si>
  <si>
    <t>100m Hurdles</t>
  </si>
  <si>
    <t>Womens Heptathlon Points Calculator</t>
  </si>
  <si>
    <t>800m</t>
  </si>
  <si>
    <t>Womens Pentathlon (indoor) Points Calculator</t>
  </si>
  <si>
    <t>Calculations are based on the IAAF Scoring Tables for Combined Events - Edition 2001</t>
  </si>
  <si>
    <t>Men's Decathlon Points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</si>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</sst>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7">
    <font>
      <sz val="10"/>
      <name val="Century Old Style"/>
      <family val="0"/>
    </font>
    <font>
      <b/>
      <sz val="10"/>
      <name val="Century Old Style"/>
      <family val="0"/>
    </font>
    <font>
      <i/>
      <sz val="10"/>
      <name val="Century Old Style"/>
      <family val="0"/>
    </font>
    <font>
      <b/>
      <i/>
      <sz val="10"/>
      <name val="Century Old Style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Old Style"/>
      <family val="0"/>
    </font>
    <font>
      <sz val="8"/>
      <name val="Century Old Style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4" fillId="33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66" fontId="4" fillId="33" borderId="0" xfId="0" applyNumberFormat="1" applyFont="1" applyFill="1" applyAlignment="1" applyProtection="1">
      <alignment horizontal="center"/>
      <protection locked="0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34" borderId="0" xfId="0" applyNumberFormat="1" applyFont="1" applyFill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8</xdr:row>
      <xdr:rowOff>38100</xdr:rowOff>
    </xdr:from>
    <xdr:to>
      <xdr:col>12</xdr:col>
      <xdr:colOff>581025</xdr:colOff>
      <xdr:row>12</xdr:row>
      <xdr:rowOff>190500</xdr:rowOff>
    </xdr:to>
    <xdr:pic>
      <xdr:nvPicPr>
        <xdr:cNvPr id="1" name="Picture 4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67640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8</xdr:row>
      <xdr:rowOff>85725</xdr:rowOff>
    </xdr:from>
    <xdr:to>
      <xdr:col>10</xdr:col>
      <xdr:colOff>152400</xdr:colOff>
      <xdr:row>13</xdr:row>
      <xdr:rowOff>38100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724025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8</xdr:row>
      <xdr:rowOff>76200</xdr:rowOff>
    </xdr:from>
    <xdr:to>
      <xdr:col>9</xdr:col>
      <xdr:colOff>657225</xdr:colOff>
      <xdr:row>13</xdr:row>
      <xdr:rowOff>28575</xdr:rowOff>
    </xdr:to>
    <xdr:pic>
      <xdr:nvPicPr>
        <xdr:cNvPr id="1" name="Picture 7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714500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10</xdr:row>
      <xdr:rowOff>190500</xdr:rowOff>
    </xdr:from>
    <xdr:to>
      <xdr:col>10</xdr:col>
      <xdr:colOff>19050</xdr:colOff>
      <xdr:row>15</xdr:row>
      <xdr:rowOff>142875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228850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8</xdr:row>
      <xdr:rowOff>9525</xdr:rowOff>
    </xdr:from>
    <xdr:to>
      <xdr:col>12</xdr:col>
      <xdr:colOff>323850</xdr:colOff>
      <xdr:row>12</xdr:row>
      <xdr:rowOff>161925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47825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11</xdr:row>
      <xdr:rowOff>57150</xdr:rowOff>
    </xdr:from>
    <xdr:to>
      <xdr:col>10</xdr:col>
      <xdr:colOff>314325</xdr:colOff>
      <xdr:row>16</xdr:row>
      <xdr:rowOff>9525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29552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8</xdr:row>
      <xdr:rowOff>85725</xdr:rowOff>
    </xdr:from>
    <xdr:to>
      <xdr:col>10</xdr:col>
      <xdr:colOff>314325</xdr:colOff>
      <xdr:row>13</xdr:row>
      <xdr:rowOff>38100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724025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decath/index.htm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decath/index.htm" TargetMode="Externa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decath/index.htm" TargetMode="External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decath/index.htm" TargetMode="External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hepth/index.htm" TargetMode="External" /><Relationship Id="rId5" Type="http://schemas.openxmlformats.org/officeDocument/2006/relationships/vmlDrawing" Target="../drawings/vmlDrawing5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hepth/index.htm" TargetMode="External" /><Relationship Id="rId5" Type="http://schemas.openxmlformats.org/officeDocument/2006/relationships/vmlDrawing" Target="../drawings/vmlDrawing6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hepth/index.htm" TargetMode="External" /><Relationship Id="rId5" Type="http://schemas.openxmlformats.org/officeDocument/2006/relationships/vmlDrawing" Target="../drawings/vmlDrawing7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/>
  <cols>
    <col min="1" max="1" width="5.25390625" style="0" customWidth="1"/>
    <col min="2" max="2" width="11.125" style="0" customWidth="1"/>
    <col min="3" max="3" width="8.25390625" style="0" customWidth="1"/>
    <col min="4" max="4" width="13.00390625" style="0" customWidth="1"/>
    <col min="5" max="5" width="8.125" style="0" customWidth="1"/>
    <col min="6" max="6" width="2.875" style="0" customWidth="1"/>
    <col min="7" max="7" width="12.75390625" style="0" customWidth="1"/>
    <col min="8" max="8" width="9.375" style="0" customWidth="1"/>
    <col min="9" max="9" width="11.00390625" style="0" customWidth="1"/>
    <col min="10" max="10" width="7.25390625" style="0" customWidth="1"/>
    <col min="12" max="12" width="9.75390625" style="0" bestFit="1" customWidth="1"/>
  </cols>
  <sheetData>
    <row r="2" spans="1:4" ht="18.75">
      <c r="A2" s="2"/>
      <c r="C2" s="2"/>
      <c r="D2" s="5" t="s">
        <v>35</v>
      </c>
    </row>
    <row r="3" spans="1:4" ht="18.75">
      <c r="A3" s="2"/>
      <c r="B3" s="5"/>
      <c r="C3" s="2"/>
      <c r="D3" s="2"/>
    </row>
    <row r="4" spans="3:18" ht="15.75">
      <c r="C4" s="6" t="s">
        <v>5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 t="s">
        <v>0</v>
      </c>
      <c r="J6" s="8" t="s">
        <v>1</v>
      </c>
    </row>
    <row r="7" spans="1:11" ht="15.75">
      <c r="A7" s="2"/>
      <c r="B7" s="10" t="s">
        <v>6</v>
      </c>
      <c r="C7" s="9">
        <v>10.62</v>
      </c>
      <c r="D7" s="2" t="s">
        <v>4</v>
      </c>
      <c r="E7" s="14">
        <f>ROUNDDOWN(IF(K4=1,25.4347*(18-C7)^1.81,25.4347*(17.76-C7)^1.81),0)</f>
        <v>947</v>
      </c>
      <c r="F7" s="2"/>
      <c r="G7" s="10" t="s">
        <v>14</v>
      </c>
      <c r="H7" s="9">
        <v>13.8</v>
      </c>
      <c r="I7" s="2" t="s">
        <v>4</v>
      </c>
      <c r="J7" s="12">
        <f>ROUNDDOWN(IF(K4=1,5.74352*(28.5-H7)^1.92,5.74352*(28.26-H7)^1.92),0)</f>
        <v>1000</v>
      </c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807</v>
      </c>
      <c r="D9" s="2" t="s">
        <v>13</v>
      </c>
      <c r="E9" s="14">
        <f>ROUNDDOWN(0.14354*(C9-220)^1.4,0)</f>
        <v>1079</v>
      </c>
      <c r="F9" s="2"/>
      <c r="G9" s="10" t="s">
        <v>15</v>
      </c>
      <c r="H9" s="16">
        <v>45.51</v>
      </c>
      <c r="I9" s="2" t="s">
        <v>3</v>
      </c>
      <c r="J9" s="12">
        <f>ROUNDDOWN(12.91*(H9-4)^1.1,0)</f>
        <v>777</v>
      </c>
      <c r="K9" s="2"/>
    </row>
    <row r="10" spans="1:11" ht="15.75">
      <c r="A10" s="2"/>
      <c r="B10" s="10"/>
      <c r="C10" s="2"/>
      <c r="D10" s="2"/>
      <c r="E10" s="13"/>
      <c r="F10" s="2"/>
      <c r="G10" s="10"/>
      <c r="H10" s="13"/>
      <c r="I10" s="2"/>
      <c r="J10" s="13"/>
      <c r="K10" s="2"/>
    </row>
    <row r="11" spans="1:11" ht="15.75">
      <c r="A11" s="2"/>
      <c r="B11" s="10" t="s">
        <v>12</v>
      </c>
      <c r="C11" s="9">
        <v>16.57</v>
      </c>
      <c r="D11" s="2" t="s">
        <v>3</v>
      </c>
      <c r="E11" s="14">
        <f>ROUNDDOWN(51.39*(C11-1.5)^1.05,0)</f>
        <v>886</v>
      </c>
      <c r="F11" s="2"/>
      <c r="G11" s="10" t="s">
        <v>16</v>
      </c>
      <c r="H11" s="16">
        <v>500</v>
      </c>
      <c r="I11" s="2" t="s">
        <v>13</v>
      </c>
      <c r="J11" s="12">
        <f>ROUNDDOWN(0.2797*(H11-100)^1.35,0)</f>
        <v>910</v>
      </c>
      <c r="K11" s="2"/>
    </row>
    <row r="12" spans="1:11" ht="15.75">
      <c r="A12" s="2"/>
      <c r="B12" s="10"/>
      <c r="C12" s="2"/>
      <c r="D12" s="2"/>
      <c r="E12" s="13"/>
      <c r="F12" s="2"/>
      <c r="G12" s="10"/>
      <c r="H12" s="13"/>
      <c r="I12" s="2"/>
      <c r="J12" s="13"/>
      <c r="K12" s="2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G13" s="10" t="s">
        <v>17</v>
      </c>
      <c r="H13" s="16">
        <v>68.53</v>
      </c>
      <c r="I13" s="2" t="s">
        <v>3</v>
      </c>
      <c r="J13" s="12">
        <f>ROUNDDOWN(10.14*(H13-7)^1.08,0)</f>
        <v>867</v>
      </c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8</v>
      </c>
      <c r="C15" s="9">
        <v>47.74</v>
      </c>
      <c r="D15" s="2" t="s">
        <v>4</v>
      </c>
      <c r="E15" s="12">
        <f>ROUNDDOWN(IF(K4=1,1.53775*(82-C15)^1.81,1.53775*(81.86-C15)^1.81),0)</f>
        <v>922</v>
      </c>
      <c r="F15" s="2"/>
      <c r="G15" s="10" t="s">
        <v>9</v>
      </c>
      <c r="H15" s="16">
        <v>275.13</v>
      </c>
      <c r="I15" s="2" t="s">
        <v>4</v>
      </c>
      <c r="J15" s="12">
        <f>ROUNDDOWN(0.03768*(480-H15)^1.85,0)</f>
        <v>711</v>
      </c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ROUNDDOWN(E7,0)+ROUNDDOWN(E9,0)+ROUNDDOWN(E11,0)+ROUNDDOWN(E13,0)+ROUNDDOWN(E15,0)+ROUNDDOWN(J7,0)+ROUNDDOWN(J9,0)+ROUNDDOWN(J11,0)+ROUNDDOWN(J13,0)+ROUNDDOWN(J15,0)</f>
        <v>8902</v>
      </c>
    </row>
    <row r="18" ht="12.75">
      <c r="A18" s="1"/>
    </row>
    <row r="19" spans="1:3" ht="12.75">
      <c r="A19" s="4"/>
      <c r="C19" t="s">
        <v>34</v>
      </c>
    </row>
    <row r="22" spans="4:9" ht="15">
      <c r="D22" s="29" t="s">
        <v>36</v>
      </c>
      <c r="E22" s="29"/>
      <c r="F22" s="29"/>
      <c r="G22" s="29"/>
      <c r="H22" s="29"/>
      <c r="I22" s="29"/>
    </row>
  </sheetData>
  <sheetProtection password="CA77" sheet="1" objects="1" scenarios="1" selectLockedCells="1"/>
  <mergeCells count="3">
    <mergeCell ref="C17:D17"/>
    <mergeCell ref="I4:J4"/>
    <mergeCell ref="D22:I22"/>
  </mergeCells>
  <hyperlinks>
    <hyperlink ref="D22:G22" r:id="rId1" display="For more details on this topic please select this link"/>
    <hyperlink ref="D22" r:id="rId2" display="For more details on this topic please select this link"/>
    <hyperlink ref="D22:H22" r:id="rId3" display="For more details on this topic please select this link"/>
    <hyperlink ref="D22:I22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                                 &amp;CPage &amp;P&amp;RVersion 1.0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showGridLines="0" zoomScalePageLayoutView="0" workbookViewId="0" topLeftCell="A1">
      <selection activeCell="B22" sqref="B22:H22"/>
    </sheetView>
  </sheetViews>
  <sheetFormatPr defaultColWidth="9.00390625" defaultRowHeight="12.75"/>
  <cols>
    <col min="3" max="3" width="8.75390625" style="0" customWidth="1"/>
    <col min="4" max="4" width="12.75390625" style="0" customWidth="1"/>
    <col min="6" max="6" width="5.125" style="0" customWidth="1"/>
    <col min="7" max="7" width="3.875" style="0" customWidth="1"/>
    <col min="8" max="8" width="6.00390625" style="0" customWidth="1"/>
  </cols>
  <sheetData>
    <row r="2" spans="1:4" ht="18.75">
      <c r="A2" s="2"/>
      <c r="C2" s="2"/>
      <c r="D2" s="5" t="s">
        <v>22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11</v>
      </c>
      <c r="C7" s="11">
        <v>807</v>
      </c>
      <c r="D7" s="2" t="s">
        <v>13</v>
      </c>
      <c r="E7" s="14">
        <f>ROUNDDOWN(0.14354*(C7-220)^1.4,0)</f>
        <v>1079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17</v>
      </c>
      <c r="C9" s="16">
        <v>68.53</v>
      </c>
      <c r="D9" s="2" t="s">
        <v>3</v>
      </c>
      <c r="E9" s="12">
        <f>ROUNDDOWN(10.14*(C9-7)^1.08,0)</f>
        <v>867</v>
      </c>
      <c r="F9" s="2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7</v>
      </c>
      <c r="C11" s="9">
        <v>29</v>
      </c>
      <c r="D11" s="2" t="s">
        <v>4</v>
      </c>
      <c r="E11" s="12">
        <f>ROUNDDOWN(IF(K4=1,5.8425*(38-C11)^1.81,5.8425*(37.76-C11)^1.81),0)</f>
        <v>311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15</v>
      </c>
      <c r="C13" s="16">
        <v>45.51</v>
      </c>
      <c r="D13" s="2" t="s">
        <v>3</v>
      </c>
      <c r="E13" s="12">
        <f>ROUNDDOWN(12.91*(C13-4)^1.1,0)</f>
        <v>777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9</v>
      </c>
      <c r="C15" s="9">
        <v>275.13</v>
      </c>
      <c r="D15" s="2" t="s">
        <v>4</v>
      </c>
      <c r="E15" s="12">
        <f>ROUNDDOWN(0.03768*(480-C15)^1.85,0)</f>
        <v>711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3745</v>
      </c>
    </row>
    <row r="18" ht="12.75">
      <c r="A18" s="1"/>
    </row>
    <row r="19" spans="1:3" ht="12.75">
      <c r="A19" s="4"/>
      <c r="C19" t="s">
        <v>34</v>
      </c>
    </row>
    <row r="22" spans="2:8" ht="15">
      <c r="B22" s="29" t="s">
        <v>36</v>
      </c>
      <c r="C22" s="29"/>
      <c r="D22" s="29"/>
      <c r="E22" s="29"/>
      <c r="F22" s="29"/>
      <c r="G22" s="29"/>
      <c r="H22" s="29"/>
    </row>
  </sheetData>
  <sheetProtection password="CA77" sheet="1" objects="1" scenarios="1" selectLockedCells="1"/>
  <mergeCells count="3">
    <mergeCell ref="I4:J4"/>
    <mergeCell ref="C17:D17"/>
    <mergeCell ref="B22:H22"/>
  </mergeCells>
  <hyperlinks>
    <hyperlink ref="B22:F22" r:id="rId1" display="For more details on this topic please select this link"/>
    <hyperlink ref="B22" r:id="rId2" display="For more details on this topic please select this link"/>
    <hyperlink ref="B22:G22" r:id="rId3" display="For more details on this topic please select this link"/>
    <hyperlink ref="B22:H22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2"/>
  <sheetViews>
    <sheetView showGridLines="0" zoomScalePageLayoutView="0" workbookViewId="0" topLeftCell="A1">
      <selection activeCell="B22" sqref="B22:H22"/>
    </sheetView>
  </sheetViews>
  <sheetFormatPr defaultColWidth="9.00390625" defaultRowHeight="12.75"/>
  <cols>
    <col min="3" max="3" width="8.75390625" style="0" customWidth="1"/>
    <col min="4" max="4" width="12.75390625" style="0" customWidth="1"/>
    <col min="5" max="5" width="10.375" style="0" bestFit="1" customWidth="1"/>
    <col min="6" max="6" width="5.125" style="0" customWidth="1"/>
    <col min="7" max="7" width="3.875" style="0" customWidth="1"/>
    <col min="8" max="8" width="6.00390625" style="0" customWidth="1"/>
  </cols>
  <sheetData>
    <row r="2" spans="1:4" ht="18.75">
      <c r="A2" s="2"/>
      <c r="C2" s="2"/>
      <c r="D2" s="5" t="s">
        <v>23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25</v>
      </c>
      <c r="C7" s="9">
        <v>7.1</v>
      </c>
      <c r="D7" s="2" t="s">
        <v>4</v>
      </c>
      <c r="E7" s="12">
        <f>ROUNDDOWN(IF(K4=1,58.015*(11.5-C7)^1.81,58.015*(11.26-C7)^1.81),0)</f>
        <v>847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807</v>
      </c>
      <c r="D9" s="2" t="s">
        <v>13</v>
      </c>
      <c r="E9" s="14">
        <f>ROUNDDOWN(0.14354*(C9-220)^1.4,0)</f>
        <v>1079</v>
      </c>
      <c r="F9" s="2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12</v>
      </c>
      <c r="C11" s="9">
        <v>16.57</v>
      </c>
      <c r="D11" s="2" t="s">
        <v>3</v>
      </c>
      <c r="E11" s="14">
        <f>ROUNDDOWN(51.39*(C11-1.5)^1.05,0)</f>
        <v>886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24</v>
      </c>
      <c r="C15" s="9">
        <v>121</v>
      </c>
      <c r="D15" s="2" t="s">
        <v>4</v>
      </c>
      <c r="E15" s="12">
        <f>ROUNDDOWN(0.08713*(305.5-C15)^1.85,0)</f>
        <v>1356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4971</v>
      </c>
    </row>
    <row r="18" ht="12.75">
      <c r="A18" s="1"/>
    </row>
    <row r="19" spans="1:3" ht="12.75">
      <c r="A19" s="4"/>
      <c r="C19" t="s">
        <v>34</v>
      </c>
    </row>
    <row r="22" spans="2:8" ht="15">
      <c r="B22" s="29" t="s">
        <v>36</v>
      </c>
      <c r="C22" s="29"/>
      <c r="D22" s="29"/>
      <c r="E22" s="29"/>
      <c r="F22" s="29"/>
      <c r="G22" s="29"/>
      <c r="H22" s="29"/>
    </row>
  </sheetData>
  <sheetProtection password="CA77" sheet="1" objects="1" scenarios="1" selectLockedCells="1"/>
  <mergeCells count="3">
    <mergeCell ref="I4:J4"/>
    <mergeCell ref="C17:D17"/>
    <mergeCell ref="B22:H22"/>
  </mergeCells>
  <hyperlinks>
    <hyperlink ref="B22:F22" r:id="rId1" display="For more details on this topic please select this link"/>
    <hyperlink ref="B22" r:id="rId2" display="For more details on this topic please select this link"/>
    <hyperlink ref="B22:G22" r:id="rId3" display="For more details on this topic please select this link"/>
    <hyperlink ref="B22:H22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8.00390625" style="0" customWidth="1"/>
    <col min="9" max="9" width="8.75390625" style="0" customWidth="1"/>
    <col min="10" max="10" width="10.75390625" style="0" customWidth="1"/>
    <col min="11" max="11" width="8.375" style="0" customWidth="1"/>
  </cols>
  <sheetData>
    <row r="2" spans="1:4" ht="18.75">
      <c r="A2" s="2"/>
      <c r="C2" s="2"/>
      <c r="D2" s="5" t="s">
        <v>28</v>
      </c>
    </row>
    <row r="3" spans="1:4" ht="18.75">
      <c r="A3" s="2"/>
      <c r="B3" s="5"/>
      <c r="C3" s="2"/>
      <c r="D3" s="2"/>
    </row>
    <row r="4" spans="3:18" ht="15.75">
      <c r="C4" s="6" t="s">
        <v>26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25</v>
      </c>
      <c r="C7" s="9">
        <v>7</v>
      </c>
      <c r="D7" s="2" t="s">
        <v>4</v>
      </c>
      <c r="E7" s="12">
        <f>ROUNDDOWN(IF(K4=1,58.015*(11.5-C7)^1.81,58.015*(11.26-C7)^1.81),0)</f>
        <v>882</v>
      </c>
      <c r="F7" s="2"/>
      <c r="H7" s="10" t="s">
        <v>16</v>
      </c>
      <c r="I7" s="11">
        <v>500</v>
      </c>
      <c r="J7" s="2" t="s">
        <v>13</v>
      </c>
      <c r="K7" s="12">
        <f>ROUNDDOWN(0.2797*(I7-100)^1.35,0)</f>
        <v>910</v>
      </c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11</v>
      </c>
      <c r="C9" s="11">
        <v>800</v>
      </c>
      <c r="D9" s="2" t="s">
        <v>13</v>
      </c>
      <c r="E9" s="14">
        <f>ROUNDDOWN(0.14354*(C9-220)^1.4,0)</f>
        <v>1061</v>
      </c>
      <c r="F9" s="2"/>
      <c r="H9" s="10" t="s">
        <v>24</v>
      </c>
      <c r="I9" s="9">
        <v>132</v>
      </c>
      <c r="J9" s="2" t="s">
        <v>4</v>
      </c>
      <c r="K9" s="12">
        <f>ROUNDDOWN(0.08713*(305.5-I9)^1.85,0)</f>
        <v>1210</v>
      </c>
    </row>
    <row r="10" spans="1:11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</row>
    <row r="11" spans="1:11" ht="15.75">
      <c r="A11" s="2"/>
      <c r="B11" s="10" t="s">
        <v>12</v>
      </c>
      <c r="C11" s="9">
        <v>16.5</v>
      </c>
      <c r="D11" s="2" t="s">
        <v>3</v>
      </c>
      <c r="E11" s="14">
        <f>ROUNDDOWN(51.39*(C11-1.5)^1.05,0)</f>
        <v>882</v>
      </c>
      <c r="F11" s="2"/>
      <c r="G11" s="19"/>
      <c r="H11" s="22"/>
      <c r="I11" s="20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10</v>
      </c>
      <c r="C13" s="11">
        <v>200</v>
      </c>
      <c r="D13" s="2" t="s">
        <v>13</v>
      </c>
      <c r="E13" s="14">
        <f>ROUNDDOWN(0.8465*(C13-75)^1.42,0)</f>
        <v>803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27</v>
      </c>
      <c r="C15" s="9">
        <v>12</v>
      </c>
      <c r="D15" s="2" t="s">
        <v>4</v>
      </c>
      <c r="E15" s="12">
        <f>ROUNDDOWN(IF(K4=1,20.5173*(15.5-C15)^1.92,20.5173*(15.26-C15)^1.92),0)</f>
        <v>227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ROUNDDOWN(E7,0)+ROUNDDOWN(E9,0)+ROUNDDOWN(E11,0)+ROUNDDOWN(E13,0)+ROUNDDOWN(E15,0)+ROUNDDOWN(K7,0)+ROUNDDOWN(K9,0)</f>
        <v>5975</v>
      </c>
    </row>
    <row r="18" ht="12.75">
      <c r="A18" s="1"/>
    </row>
    <row r="19" spans="1:3" ht="12.75">
      <c r="A19" s="4"/>
      <c r="C19" t="s">
        <v>34</v>
      </c>
    </row>
    <row r="22" spans="4:10" ht="15">
      <c r="D22" s="29" t="s">
        <v>36</v>
      </c>
      <c r="E22" s="29"/>
      <c r="F22" s="29"/>
      <c r="G22" s="29"/>
      <c r="H22" s="29"/>
      <c r="I22" s="29"/>
      <c r="J22" s="29"/>
    </row>
  </sheetData>
  <sheetProtection password="CA77" sheet="1" objects="1" scenarios="1" selectLockedCells="1"/>
  <mergeCells count="3">
    <mergeCell ref="I4:J4"/>
    <mergeCell ref="C17:D17"/>
    <mergeCell ref="D22:J22"/>
  </mergeCells>
  <hyperlinks>
    <hyperlink ref="D22:H22" r:id="rId1" display="For more details on this topic please select this link"/>
    <hyperlink ref="D22" r:id="rId2" display="For more details on this topic please select this link"/>
    <hyperlink ref="D22:I22" r:id="rId3" display="For more details on this topic please select this link"/>
    <hyperlink ref="D22:J22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5.25390625" style="0" customWidth="1"/>
    <col min="2" max="2" width="11.125" style="0" customWidth="1"/>
    <col min="3" max="3" width="8.25390625" style="0" customWidth="1"/>
    <col min="4" max="4" width="13.00390625" style="0" customWidth="1"/>
    <col min="5" max="5" width="8.125" style="0" customWidth="1"/>
    <col min="6" max="6" width="5.25390625" style="0" customWidth="1"/>
    <col min="7" max="7" width="12.75390625" style="0" customWidth="1"/>
    <col min="8" max="8" width="8.875" style="0" customWidth="1"/>
    <col min="9" max="9" width="11.00390625" style="0" customWidth="1"/>
    <col min="10" max="10" width="7.25390625" style="0" customWidth="1"/>
    <col min="12" max="12" width="9.75390625" style="0" customWidth="1"/>
  </cols>
  <sheetData>
    <row r="2" spans="1:4" ht="18.75">
      <c r="A2" s="2"/>
      <c r="C2" s="2"/>
      <c r="D2" s="5" t="s">
        <v>29</v>
      </c>
    </row>
    <row r="3" spans="1:4" ht="18.75">
      <c r="A3" s="2"/>
      <c r="B3" s="5"/>
      <c r="C3" s="2"/>
      <c r="D3" s="2"/>
    </row>
    <row r="4" spans="3:18" ht="15.75">
      <c r="C4" s="6" t="s">
        <v>5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 t="s">
        <v>0</v>
      </c>
      <c r="J6" s="8" t="s">
        <v>1</v>
      </c>
    </row>
    <row r="7" spans="1:12" ht="15.75">
      <c r="A7" s="2"/>
      <c r="B7" s="10" t="s">
        <v>6</v>
      </c>
      <c r="C7" s="9">
        <v>12</v>
      </c>
      <c r="D7" s="2" t="s">
        <v>4</v>
      </c>
      <c r="E7" s="14">
        <f>ROUNDDOWN(IF(K4=1,17.857*(21-C7)^1.81,17.857*(21-0.24-C7)^1.81),0)</f>
        <v>952</v>
      </c>
      <c r="F7" s="2"/>
      <c r="G7" s="10" t="s">
        <v>30</v>
      </c>
      <c r="H7" s="9">
        <v>16</v>
      </c>
      <c r="I7" s="2" t="s">
        <v>4</v>
      </c>
      <c r="J7" s="12">
        <f>ROUNDDOWN(IF(K4=1,9.23076*(26.7-H7)^1.835,9.23076*(26.7-0.24-H7)^1.835),0)</f>
        <v>714</v>
      </c>
      <c r="K7" s="2"/>
      <c r="L7" s="23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15</v>
      </c>
      <c r="C9" s="16">
        <v>50</v>
      </c>
      <c r="D9" s="2" t="s">
        <v>3</v>
      </c>
      <c r="E9" s="12">
        <f>ROUNDDOWN(12.3311*(C9-3)^1.1,0)</f>
        <v>851</v>
      </c>
      <c r="F9" s="2"/>
      <c r="G9" s="10" t="s">
        <v>11</v>
      </c>
      <c r="H9" s="11">
        <v>790</v>
      </c>
      <c r="I9" s="2" t="s">
        <v>13</v>
      </c>
      <c r="J9" s="14">
        <f>ROUNDDOWN(0.188807*(H9-210)^1.41,0)</f>
        <v>1487</v>
      </c>
      <c r="K9" s="2"/>
    </row>
    <row r="10" spans="1:11" ht="15.75">
      <c r="A10" s="2"/>
      <c r="B10" s="10"/>
      <c r="C10" s="2"/>
      <c r="D10" s="2"/>
      <c r="E10" s="13"/>
      <c r="F10" s="2"/>
      <c r="G10" s="10"/>
      <c r="H10" s="13"/>
      <c r="I10" s="2"/>
      <c r="J10" s="13"/>
      <c r="K10" s="2"/>
    </row>
    <row r="11" spans="1:11" ht="15.75">
      <c r="A11" s="2"/>
      <c r="B11" s="10" t="s">
        <v>16</v>
      </c>
      <c r="C11" s="16">
        <v>290</v>
      </c>
      <c r="D11" s="2" t="s">
        <v>13</v>
      </c>
      <c r="E11" s="12">
        <f>ROUNDDOWN(0.44125*(C11-100)^1.35,0)</f>
        <v>526</v>
      </c>
      <c r="F11" s="2"/>
      <c r="G11" s="10" t="s">
        <v>12</v>
      </c>
      <c r="H11" s="9">
        <v>13</v>
      </c>
      <c r="I11" s="2" t="s">
        <v>3</v>
      </c>
      <c r="J11" s="14">
        <f>ROUNDDOWN(56.0211*(H11-1.5)^1.05,0)</f>
        <v>727</v>
      </c>
      <c r="K11" s="2"/>
    </row>
    <row r="12" spans="1:11" ht="15.75">
      <c r="A12" s="2"/>
      <c r="B12" s="10"/>
      <c r="C12" s="2"/>
      <c r="D12" s="2"/>
      <c r="E12" s="13"/>
      <c r="F12" s="2"/>
      <c r="G12" s="10"/>
      <c r="H12" s="13"/>
      <c r="I12" s="2"/>
      <c r="J12" s="13"/>
      <c r="K12" s="2"/>
    </row>
    <row r="13" spans="1:12" ht="15.75">
      <c r="A13" s="2"/>
      <c r="B13" s="10" t="s">
        <v>17</v>
      </c>
      <c r="C13" s="16">
        <v>45</v>
      </c>
      <c r="D13" s="2" t="s">
        <v>3</v>
      </c>
      <c r="E13" s="12">
        <f>ROUNDDOWN(15.9803*(C13-3.8)^1.04,0)</f>
        <v>763</v>
      </c>
      <c r="F13" s="2"/>
      <c r="G13" s="10" t="s">
        <v>10</v>
      </c>
      <c r="H13" s="11">
        <v>200</v>
      </c>
      <c r="I13" s="2" t="s">
        <v>13</v>
      </c>
      <c r="J13" s="14">
        <f>ROUNDDOWN(1.84523*(H13-75)^1.348,0)</f>
        <v>1237</v>
      </c>
      <c r="K13" s="2"/>
      <c r="L13" s="23"/>
    </row>
    <row r="14" spans="1:12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  <c r="L14" s="23"/>
    </row>
    <row r="15" spans="1:12" ht="15.75">
      <c r="A15" s="2"/>
      <c r="B15" s="10" t="s">
        <v>8</v>
      </c>
      <c r="C15" s="9">
        <v>59</v>
      </c>
      <c r="D15" s="2" t="s">
        <v>4</v>
      </c>
      <c r="E15" s="12">
        <f>ROUNDDOWN(IF(K4=1,1.34285*(91.7-C15)^1.81,1.34285*(91.7-0.14-C15)^1.81),0)</f>
        <v>740</v>
      </c>
      <c r="F15" s="2"/>
      <c r="G15" s="10" t="s">
        <v>9</v>
      </c>
      <c r="H15" s="11">
        <v>300</v>
      </c>
      <c r="I15" s="2" t="s">
        <v>4</v>
      </c>
      <c r="J15" s="12">
        <f>ROUNDDOWN(0.02883*(535-H15)^1.88,0)</f>
        <v>826</v>
      </c>
      <c r="K15" s="2"/>
      <c r="L15" s="23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2" ht="15.75">
      <c r="B17" s="2"/>
      <c r="C17" s="27" t="s">
        <v>2</v>
      </c>
      <c r="D17" s="27"/>
      <c r="E17" s="15">
        <f>ROUNDDOWN(E7,0)+ROUNDDOWN(J9,0)+ROUNDDOWN(J11,0)+ROUNDDOWN(J13,0)+ROUNDDOWN(E15,0)+ROUNDDOWN(J7,0)+ROUNDDOWN(E9,0)+ROUNDDOWN(E11,0)+ROUNDDOWN(E13,0)+ROUNDDOWN(J15,0)</f>
        <v>8823</v>
      </c>
      <c r="L17" s="23"/>
    </row>
    <row r="18" ht="12.75">
      <c r="A18" s="1"/>
    </row>
    <row r="19" spans="1:3" ht="12.75">
      <c r="A19" s="4"/>
      <c r="C19" t="s">
        <v>34</v>
      </c>
    </row>
    <row r="23" spans="4:10" ht="15">
      <c r="D23" s="29" t="s">
        <v>36</v>
      </c>
      <c r="E23" s="29"/>
      <c r="F23" s="29"/>
      <c r="G23" s="29"/>
      <c r="H23" s="29"/>
      <c r="I23" s="29"/>
      <c r="J23" s="29"/>
    </row>
  </sheetData>
  <sheetProtection password="CA77" sheet="1" objects="1" scenarios="1" selectLockedCells="1"/>
  <mergeCells count="3">
    <mergeCell ref="I4:J4"/>
    <mergeCell ref="C17:D17"/>
    <mergeCell ref="D23:J23"/>
  </mergeCells>
  <hyperlinks>
    <hyperlink ref="D23:H23" r:id="rId1" display="For more details on this topic please select this link"/>
    <hyperlink ref="D23" r:id="rId2" display="For more details on this topic please select this link"/>
    <hyperlink ref="D23:I23" r:id="rId3" display="For more details on this topic please select this link"/>
    <hyperlink ref="D23:J23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1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8.00390625" style="0" customWidth="1"/>
    <col min="9" max="9" width="8.75390625" style="0" customWidth="1"/>
    <col min="10" max="10" width="10.75390625" style="0" customWidth="1"/>
    <col min="11" max="11" width="8.375" style="0" customWidth="1"/>
  </cols>
  <sheetData>
    <row r="2" spans="1:4" ht="18.75">
      <c r="A2" s="2"/>
      <c r="C2" s="2"/>
      <c r="D2" s="5" t="s">
        <v>31</v>
      </c>
    </row>
    <row r="3" spans="1:4" ht="18.75">
      <c r="A3" s="2"/>
      <c r="B3" s="5"/>
      <c r="C3" s="2"/>
      <c r="D3" s="2"/>
    </row>
    <row r="4" spans="3:18" ht="15.75">
      <c r="C4" s="6" t="s">
        <v>26</v>
      </c>
      <c r="I4" s="28" t="s">
        <v>20</v>
      </c>
      <c r="J4" s="28"/>
      <c r="K4" s="26">
        <v>2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30</v>
      </c>
      <c r="C7" s="9">
        <v>13.77</v>
      </c>
      <c r="D7" s="2" t="s">
        <v>4</v>
      </c>
      <c r="E7" s="12">
        <f>ROUNDDOWN(IF(K4=1,9.23076*(26.7-C7)^1.835,9.23076*(26.7-0.24-C7)^1.835),0)</f>
        <v>977</v>
      </c>
      <c r="F7" s="2"/>
      <c r="H7" s="10" t="s">
        <v>11</v>
      </c>
      <c r="I7" s="11">
        <v>661</v>
      </c>
      <c r="J7" s="2" t="s">
        <v>13</v>
      </c>
      <c r="K7" s="14">
        <f>ROUNDDOWN(0.188807*(I7-210)^1.41,0)</f>
        <v>1043</v>
      </c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2:13" ht="15.75">
      <c r="B9" s="10" t="s">
        <v>10</v>
      </c>
      <c r="C9" s="11">
        <v>188</v>
      </c>
      <c r="D9" s="2" t="s">
        <v>13</v>
      </c>
      <c r="E9" s="14">
        <f>ROUNDDOWN(1.84523*(C9-75)^1.348,0)</f>
        <v>1080</v>
      </c>
      <c r="F9" s="2"/>
      <c r="H9" s="10" t="s">
        <v>17</v>
      </c>
      <c r="I9" s="16">
        <v>50.73</v>
      </c>
      <c r="J9" s="2" t="s">
        <v>3</v>
      </c>
      <c r="K9" s="12">
        <f>ROUNDDOWN(15.9803*(I9-3.8)^1.04,0)</f>
        <v>874</v>
      </c>
      <c r="M9" s="23"/>
    </row>
    <row r="10" spans="1:13" ht="15.75">
      <c r="A10" s="2"/>
      <c r="B10" s="10"/>
      <c r="C10" s="2"/>
      <c r="D10" s="2"/>
      <c r="E10" s="13"/>
      <c r="F10" s="2"/>
      <c r="G10" s="17"/>
      <c r="H10" s="18"/>
      <c r="I10" s="7"/>
      <c r="J10" s="18"/>
      <c r="K10" s="7"/>
      <c r="M10" s="23"/>
    </row>
    <row r="11" spans="1:11" ht="15.75">
      <c r="A11" s="2"/>
      <c r="B11" s="10" t="s">
        <v>12</v>
      </c>
      <c r="C11" s="9">
        <v>13.15</v>
      </c>
      <c r="D11" s="2" t="s">
        <v>3</v>
      </c>
      <c r="E11" s="14">
        <f>ROUNDDOWN(56.0211*(C11-1.5)^1.05,0)</f>
        <v>737</v>
      </c>
      <c r="F11" s="2"/>
      <c r="G11" s="19"/>
      <c r="H11" s="10" t="s">
        <v>32</v>
      </c>
      <c r="I11" s="11">
        <v>131.53</v>
      </c>
      <c r="J11" s="2" t="s">
        <v>4</v>
      </c>
      <c r="K11" s="12">
        <f>ROUNDDOWN(0.11193*(254-I11)^1.88,0)</f>
        <v>942</v>
      </c>
    </row>
    <row r="12" spans="1:13" ht="15.75">
      <c r="A12" s="2"/>
      <c r="B12" s="10"/>
      <c r="C12" s="2"/>
      <c r="D12" s="2"/>
      <c r="E12" s="13"/>
      <c r="F12" s="2"/>
      <c r="G12" s="17"/>
      <c r="M12" s="23"/>
    </row>
    <row r="13" spans="1:11" ht="15.75">
      <c r="A13" s="2"/>
      <c r="B13" s="10" t="s">
        <v>7</v>
      </c>
      <c r="C13" s="9">
        <v>23.73</v>
      </c>
      <c r="D13" s="2" t="s">
        <v>4</v>
      </c>
      <c r="E13" s="12">
        <f>ROUNDDOWN(IF(K4=1,4.99087*(42.5-C13)^1.81,4.99087*(42.5-0.24-C13)^1.81),0)</f>
        <v>984</v>
      </c>
      <c r="F13" s="2"/>
      <c r="K13" s="2"/>
    </row>
    <row r="14" spans="1:13" ht="15.75">
      <c r="A14" s="2"/>
      <c r="B14" s="2"/>
      <c r="C14" s="2"/>
      <c r="D14" s="7"/>
      <c r="E14" s="13"/>
      <c r="F14" s="2"/>
      <c r="G14" s="2"/>
      <c r="M14" s="23"/>
    </row>
    <row r="15" spans="1:13" ht="15.75">
      <c r="A15" s="2"/>
      <c r="C15" s="27" t="s">
        <v>2</v>
      </c>
      <c r="D15" s="27"/>
      <c r="E15" s="15">
        <f>ROUNDDOWN(K11,0)+ROUNDDOWN(K7,0)+ROUNDDOWN(E11,0)+ROUNDDOWN(E9,0)+ROUNDDOWN(E7,0)+ROUNDDOWN(K9,0)+ROUNDDOWN(E13,0)</f>
        <v>6637</v>
      </c>
      <c r="F15" s="2"/>
      <c r="K15" s="2"/>
      <c r="M15" s="23"/>
    </row>
    <row r="16" spans="1:11" ht="15.75">
      <c r="A16" s="2"/>
      <c r="B16" s="2"/>
      <c r="F16" s="2"/>
      <c r="G16" s="2"/>
      <c r="H16" s="2"/>
      <c r="I16" s="2"/>
      <c r="J16" s="2"/>
      <c r="K16" s="2"/>
    </row>
    <row r="17" spans="2:13" ht="15.75">
      <c r="B17" s="2"/>
      <c r="C17" t="s">
        <v>34</v>
      </c>
      <c r="D17" s="2"/>
      <c r="M17" s="23"/>
    </row>
    <row r="18" ht="12.75">
      <c r="A18" s="1"/>
    </row>
    <row r="19" ht="12.75">
      <c r="A19" s="4"/>
    </row>
    <row r="21" spans="4:10" ht="15">
      <c r="D21" s="29" t="s">
        <v>36</v>
      </c>
      <c r="E21" s="29"/>
      <c r="F21" s="29"/>
      <c r="G21" s="29"/>
      <c r="H21" s="29"/>
      <c r="I21" s="29"/>
      <c r="J21" s="29"/>
    </row>
  </sheetData>
  <sheetProtection password="CA77" sheet="1" objects="1" scenarios="1" selectLockedCells="1"/>
  <mergeCells count="3">
    <mergeCell ref="I4:J4"/>
    <mergeCell ref="C15:D15"/>
    <mergeCell ref="D21:J21"/>
  </mergeCells>
  <hyperlinks>
    <hyperlink ref="D21:H21" r:id="rId1" display="For more details on this topic please select this link"/>
    <hyperlink ref="D21" r:id="rId2" display="For more details on this topic please select this link"/>
    <hyperlink ref="D21:I21" r:id="rId3" display="For more details on this topic please select this link"/>
    <hyperlink ref="D21:J21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2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3" max="3" width="8.75390625" style="0" customWidth="1"/>
    <col min="4" max="4" width="12.75390625" style="0" customWidth="1"/>
    <col min="5" max="5" width="10.375" style="0" customWidth="1"/>
    <col min="6" max="6" width="5.125" style="0" customWidth="1"/>
    <col min="7" max="7" width="3.875" style="0" customWidth="1"/>
    <col min="8" max="8" width="6.00390625" style="0" customWidth="1"/>
  </cols>
  <sheetData>
    <row r="2" spans="1:4" ht="18.75">
      <c r="A2" s="2"/>
      <c r="C2" s="2"/>
      <c r="D2" s="5" t="s">
        <v>33</v>
      </c>
    </row>
    <row r="3" spans="1:4" ht="18.75">
      <c r="A3" s="2"/>
      <c r="B3" s="5"/>
      <c r="C3" s="2"/>
      <c r="D3" s="2"/>
    </row>
    <row r="4" spans="3:18" ht="15.75">
      <c r="C4" s="6" t="s">
        <v>21</v>
      </c>
      <c r="I4" s="28" t="s">
        <v>20</v>
      </c>
      <c r="J4" s="28"/>
      <c r="K4" s="26">
        <v>1</v>
      </c>
      <c r="R4" t="s">
        <v>18</v>
      </c>
    </row>
    <row r="5" spans="1:18" ht="15.75">
      <c r="A5" s="2"/>
      <c r="B5" s="2"/>
      <c r="C5" s="2"/>
      <c r="D5" s="2"/>
      <c r="E5" s="2"/>
      <c r="R5" t="s">
        <v>19</v>
      </c>
    </row>
    <row r="6" spans="1:10" ht="15.75">
      <c r="A6" s="3"/>
      <c r="B6" s="2"/>
      <c r="C6" s="8" t="s">
        <v>0</v>
      </c>
      <c r="D6" s="2"/>
      <c r="E6" s="8" t="s">
        <v>1</v>
      </c>
      <c r="H6" s="8"/>
      <c r="J6" s="8"/>
    </row>
    <row r="7" spans="1:11" ht="15.75">
      <c r="A7" s="2"/>
      <c r="B7" s="10" t="s">
        <v>27</v>
      </c>
      <c r="C7" s="9">
        <v>11</v>
      </c>
      <c r="D7" s="2" t="s">
        <v>4</v>
      </c>
      <c r="E7" s="12">
        <f>ROUNDDOWN(IF(K4=1,20.0479*(17-C7)^1.835,20.0479*(17-0.24-C7)^1.835),0)</f>
        <v>537</v>
      </c>
      <c r="F7" s="2"/>
      <c r="K7" s="2"/>
    </row>
    <row r="8" spans="1:11" ht="15.75">
      <c r="A8" s="2"/>
      <c r="B8" s="10"/>
      <c r="C8" s="2"/>
      <c r="D8" s="2"/>
      <c r="E8" s="13"/>
      <c r="F8" s="2"/>
      <c r="G8" s="10"/>
      <c r="H8" s="13"/>
      <c r="I8" s="2"/>
      <c r="J8" s="13"/>
      <c r="K8" s="2"/>
    </row>
    <row r="9" spans="1:11" ht="15.75">
      <c r="A9" s="2"/>
      <c r="B9" s="10" t="s">
        <v>10</v>
      </c>
      <c r="C9" s="11">
        <v>200</v>
      </c>
      <c r="D9" s="2" t="s">
        <v>13</v>
      </c>
      <c r="E9" s="14">
        <f>ROUNDDOWN(1.84523*(C9-75)^1.348,0)</f>
        <v>1237</v>
      </c>
      <c r="F9" s="2"/>
      <c r="I9" s="23"/>
      <c r="K9" s="2"/>
    </row>
    <row r="10" spans="1:11" ht="15.75">
      <c r="A10" s="2"/>
      <c r="B10" s="10"/>
      <c r="C10" s="2"/>
      <c r="D10" s="2"/>
      <c r="E10" s="13"/>
      <c r="F10" s="2"/>
      <c r="G10" s="17"/>
      <c r="H10" s="18"/>
      <c r="I10" s="24"/>
      <c r="J10" s="18"/>
      <c r="K10" s="7"/>
    </row>
    <row r="11" spans="1:11" ht="15.75">
      <c r="A11" s="2"/>
      <c r="B11" s="10" t="s">
        <v>12</v>
      </c>
      <c r="C11" s="9">
        <v>13.2</v>
      </c>
      <c r="D11" s="2" t="s">
        <v>3</v>
      </c>
      <c r="E11" s="14">
        <f>ROUNDDOWN(56.0211*(C11-1.5)^1.05,0)</f>
        <v>741</v>
      </c>
      <c r="F11" s="2"/>
      <c r="G11" s="19"/>
      <c r="H11" s="22"/>
      <c r="I11" s="25"/>
      <c r="J11" s="21"/>
      <c r="K11" s="20"/>
    </row>
    <row r="12" spans="1:11" ht="15.75">
      <c r="A12" s="2"/>
      <c r="B12" s="10"/>
      <c r="C12" s="2"/>
      <c r="D12" s="2"/>
      <c r="E12" s="13"/>
      <c r="F12" s="2"/>
      <c r="G12" s="17"/>
      <c r="H12" s="18"/>
      <c r="I12" s="7"/>
      <c r="J12" s="18"/>
      <c r="K12" s="7"/>
    </row>
    <row r="13" spans="1:11" ht="15.75">
      <c r="A13" s="2"/>
      <c r="B13" s="10" t="s">
        <v>11</v>
      </c>
      <c r="C13" s="11">
        <v>790</v>
      </c>
      <c r="D13" s="2" t="s">
        <v>13</v>
      </c>
      <c r="E13" s="14">
        <f>ROUNDDOWN(0.188807*(C13-210)^1.41,0)</f>
        <v>1487</v>
      </c>
      <c r="F13" s="2"/>
      <c r="K13" s="2"/>
    </row>
    <row r="14" spans="1:11" ht="15.75">
      <c r="A14" s="2"/>
      <c r="B14" s="2"/>
      <c r="C14" s="2"/>
      <c r="D14" s="7"/>
      <c r="E14" s="13"/>
      <c r="F14" s="2"/>
      <c r="G14" s="10"/>
      <c r="H14" s="13"/>
      <c r="I14" s="2"/>
      <c r="J14" s="13"/>
      <c r="K14" s="2"/>
    </row>
    <row r="15" spans="1:11" ht="15.75">
      <c r="A15" s="2"/>
      <c r="B15" s="10" t="s">
        <v>32</v>
      </c>
      <c r="C15" s="11">
        <v>122</v>
      </c>
      <c r="D15" s="2" t="s">
        <v>4</v>
      </c>
      <c r="E15" s="12">
        <f>ROUNDDOWN(0.11193*(254-C15)^1.88,0)</f>
        <v>1085</v>
      </c>
      <c r="F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5" ht="15.75">
      <c r="B17" s="2"/>
      <c r="C17" s="27" t="s">
        <v>2</v>
      </c>
      <c r="D17" s="27"/>
      <c r="E17" s="15">
        <f>ROUNDDOWN(E7,0)+ROUNDDOWN(E9,0)+ROUNDDOWN(E11,0)+ROUNDDOWN(E13,0)+ROUNDDOWN(E15,0)</f>
        <v>5087</v>
      </c>
    </row>
    <row r="18" ht="12.75">
      <c r="A18" s="1"/>
    </row>
    <row r="19" spans="1:3" ht="12.75">
      <c r="A19" s="4"/>
      <c r="C19" t="s">
        <v>34</v>
      </c>
    </row>
    <row r="22" spans="4:10" ht="15">
      <c r="D22" s="29" t="s">
        <v>36</v>
      </c>
      <c r="E22" s="29"/>
      <c r="F22" s="29"/>
      <c r="G22" s="29"/>
      <c r="H22" s="29"/>
      <c r="I22" s="29"/>
      <c r="J22" s="29"/>
    </row>
  </sheetData>
  <sheetProtection password="CA77" sheet="1" objects="1" scenarios="1" selectLockedCells="1"/>
  <mergeCells count="3">
    <mergeCell ref="I4:J4"/>
    <mergeCell ref="C17:D17"/>
    <mergeCell ref="D22:J22"/>
  </mergeCells>
  <hyperlinks>
    <hyperlink ref="D22:H22" r:id="rId1" display="For more details on this topic please select this link"/>
    <hyperlink ref="D22" r:id="rId2" display="For more details on this topic please select this link"/>
    <hyperlink ref="D22:I22" r:id="rId3" display="For more details on this topic please select this link"/>
    <hyperlink ref="D22:J22" r:id="rId4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7"/>
  <headerFooter alignWithMargins="0">
    <oddHeader>&amp;Cwww.athleticscoach.co.uk</oddHeader>
    <oddFooter>&amp;L© Sports Coach 2002&amp;CPage 1&amp;RVersion 1.0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Mackenzie</cp:lastModifiedBy>
  <cp:lastPrinted>2002-02-18T10:15:29Z</cp:lastPrinted>
  <dcterms:created xsi:type="dcterms:W3CDTF">2001-03-17T19:24:21Z</dcterms:created>
  <dcterms:modified xsi:type="dcterms:W3CDTF">2010-12-01T18:34:24Z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